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 with Formula" sheetId="2" r:id="rId5"/>
  </sheets>
  <definedNames/>
  <calcPr/>
</workbook>
</file>

<file path=xl/sharedStrings.xml><?xml version="1.0" encoding="utf-8"?>
<sst xmlns="http://schemas.openxmlformats.org/spreadsheetml/2006/main" count="68" uniqueCount="45">
  <si>
    <t>Input</t>
  </si>
  <si>
    <t>d1, d2 Calculation</t>
  </si>
  <si>
    <t>Underlying Price</t>
  </si>
  <si>
    <t>Spot Price</t>
  </si>
  <si>
    <t>d1</t>
  </si>
  <si>
    <t>Strike Price</t>
  </si>
  <si>
    <t>Strike</t>
  </si>
  <si>
    <t>Nd1</t>
  </si>
  <si>
    <t>Today's Date</t>
  </si>
  <si>
    <t>Expiry Date</t>
  </si>
  <si>
    <t>d2</t>
  </si>
  <si>
    <t>Historical Volatility</t>
  </si>
  <si>
    <t>India Vix</t>
  </si>
  <si>
    <t>Nd2</t>
  </si>
  <si>
    <t>Risk Free Rate</t>
  </si>
  <si>
    <t>Dividened Yield</t>
  </si>
  <si>
    <t>DTE (Years)</t>
  </si>
  <si>
    <t>unofficed.com</t>
  </si>
  <si>
    <t>Output as per Black-Scholes Formulas</t>
  </si>
  <si>
    <t>Call Theta</t>
  </si>
  <si>
    <t>Call Premium</t>
  </si>
  <si>
    <t>Call Rho</t>
  </si>
  <si>
    <t>Put Theta</t>
  </si>
  <si>
    <t>Put Premium</t>
  </si>
  <si>
    <t>Put Rho</t>
  </si>
  <si>
    <t>Call Delta</t>
  </si>
  <si>
    <t xml:space="preserve"> Gamma</t>
  </si>
  <si>
    <t>Vega</t>
  </si>
  <si>
    <t>Put Delta</t>
  </si>
  <si>
    <t>This is spot. Not Fut.</t>
  </si>
  <si>
    <t>(LN(B1/B2)+(B6-B7+0.5*B5^2)*B8)/(B5*SQRT(B8))</t>
  </si>
  <si>
    <t>ATM Strike Price</t>
  </si>
  <si>
    <t>EXP(-(B10^2)/2)/SQRT(2*PI())</t>
  </si>
  <si>
    <t>B10-B5*SQRT(B8)</t>
  </si>
  <si>
    <t>NORMSDIST(B12)</t>
  </si>
  <si>
    <t>(-((B1*B5*EXP(-B7*B8))/(2*SQRT(B8))*(1/(SQRT(2*PI())))*EXP(-(B10*B10)/2))-(B6*B2*EXP(-B6*B8)*NORMSDIST(B12))+(B7*EXP(-B7*B8)*B1*NORMSDIST(B10)))/365</t>
  </si>
  <si>
    <t>(-((B1*B5*EXP(-B7*B8))/(2*SQRT(B8))*(1/(SQRT(2*PI())))*EXP(-(B10*B10)/2))+(B6*B2*EXP(-B6*B8)*NORMSDIST(-B12))-(B7*EXP(-B7*B8)*B1*NORMSDIST(-B10)))/365</t>
  </si>
  <si>
    <t>EXP(-B7*B8)*B1*NORMSDIST(B10)-B2*EXP(-B6*B8)*NORMSDIST(B10-B5*SQRT(B8))</t>
  </si>
  <si>
    <t>B2*EXP(-B6*B8)*NORMSDIST(-B12)-EXP(-B7*B8)*B1*NORMSDIST(-B10)</t>
  </si>
  <si>
    <t>EXP(-B7*B8)*NORMSDIST(B10)</t>
  </si>
  <si>
    <t>EXP(-B7*B8)*(NORMSDIST(B10)-1)</t>
  </si>
  <si>
    <t>(EXP(-B6*B8)/(B1*B5*SQRT(B8)))*(1/(SQRT(2*PI())))*EXP(-(B10*B10)/2)</t>
  </si>
  <si>
    <t>((1/100)*B1*EXP(-B6*B8)*SQRT(B8))*(1/(SQRT(2*PI()))*EXP(-(B10*B10)/2))</t>
  </si>
  <si>
    <t>(1/100)*B2*B8*EXP(-B6*B8)*NORMSDIST(B12)</t>
  </si>
  <si>
    <t>(-1/100)*B2*B8*EXP(-B6*B8)*NORMSDIST(-B12)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</si>
</sst>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00"/>
    <numFmt numFmtId="165" formatCode="D/M/YYYY"/>
    <numFmt numFmtId="166" formatCode="0.000"/>
    <numFmt numFmtId="167" formatCode="0.0000"/>
    <numFmt numFmtId="168" formatCode="#,##0.00000"/>
  </numFmts>
  <fonts count="12">
    <font>
      <sz val="11.0"/>
      <color theme="1"/>
      <name val="Calibri"/>
    </font>
    <font>
      <b/>
      <sz val="10.0"/>
      <color rgb="FFFFFFFF"/>
      <name val="Roboto"/>
    </font>
    <font/>
    <font>
      <color theme="1"/>
      <name val="Calibri"/>
    </font>
    <font>
      <sz val="10.0"/>
      <color rgb="FFFFFFFF"/>
      <name val="Roboto"/>
    </font>
    <font>
      <sz val="10.0"/>
      <color theme="1"/>
      <name val="Roboto"/>
    </font>
    <font>
      <sz val="10.0"/>
      <name val="Roboto"/>
    </font>
    <font>
      <sz val="7.0"/>
      <color theme="1"/>
      <name val="Roboto"/>
    </font>
    <font>
      <u/>
      <sz val="10.0"/>
      <color rgb="FFFFFFFF"/>
      <name val="Roboto"/>
    </font>
    <font>
      <sz val="7.0"/>
      <name val="Roboto"/>
    </font>
    <font>
      <sz val="8.0"/>
      <color theme="1"/>
      <name val="Roboto"/>
    </font>
    <font>
      <u/>
      <sz val="10.0"/>
      <color rgb="FFFFFFF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C3232"/>
        <bgColor rgb="FFCC3232"/>
      </patternFill>
    </fill>
    <fill>
      <patternFill patternType="solid">
        <fgColor rgb="FF273044"/>
        <bgColor rgb="FF273044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center" shrinkToFit="0" vertical="bottom" wrapText="0"/>
    </xf>
    <xf borderId="0" fillId="4" fontId="5" numFmtId="4" xfId="0" applyAlignment="1" applyFill="1" applyFont="1" applyNumberFormat="1">
      <alignment readingOrder="0" shrinkToFit="0" vertical="bottom" wrapText="0"/>
    </xf>
    <xf borderId="5" fillId="4" fontId="6" numFmtId="0" xfId="0" applyAlignment="1" applyBorder="1" applyFont="1">
      <alignment readingOrder="0" shrinkToFit="0" vertical="bottom" wrapText="0"/>
    </xf>
    <xf borderId="0" fillId="4" fontId="5" numFmtId="164" xfId="0" applyAlignment="1" applyFont="1" applyNumberFormat="1">
      <alignment shrinkToFit="0" vertical="bottom" wrapText="0"/>
    </xf>
    <xf borderId="5" fillId="4" fontId="7" numFmtId="164" xfId="0" applyAlignment="1" applyBorder="1" applyFont="1" applyNumberFormat="1">
      <alignment readingOrder="0" shrinkToFit="0" vertical="bottom" wrapText="0"/>
    </xf>
    <xf borderId="4" fillId="3" fontId="4" numFmtId="0" xfId="0" applyAlignment="1" applyBorder="1" applyFont="1">
      <alignment horizontal="center" readingOrder="0" shrinkToFit="0" vertical="bottom" wrapText="0"/>
    </xf>
    <xf borderId="0" fillId="4" fontId="5" numFmtId="165" xfId="0" applyAlignment="1" applyFont="1" applyNumberFormat="1">
      <alignment shrinkToFit="0" vertical="bottom" wrapText="0"/>
    </xf>
    <xf borderId="5" fillId="4" fontId="6" numFmtId="0" xfId="0" applyAlignment="1" applyBorder="1" applyFont="1">
      <alignment shrinkToFit="0" vertical="bottom" wrapText="0"/>
    </xf>
    <xf borderId="0" fillId="4" fontId="5" numFmtId="165" xfId="0" applyAlignment="1" applyFont="1" applyNumberFormat="1">
      <alignment readingOrder="0" shrinkToFit="0" vertical="bottom" wrapText="0"/>
    </xf>
    <xf borderId="0" fillId="4" fontId="5" numFmtId="10" xfId="0" applyAlignment="1" applyFont="1" applyNumberFormat="1">
      <alignment readingOrder="0" shrinkToFit="0" vertical="bottom" wrapText="0"/>
    </xf>
    <xf borderId="0" fillId="4" fontId="6" numFmtId="0" xfId="0" applyFont="1"/>
    <xf borderId="0" fillId="4" fontId="5" numFmtId="4" xfId="0" applyAlignment="1" applyFont="1" applyNumberFormat="1">
      <alignment shrinkToFit="0" vertical="bottom" wrapText="0"/>
    </xf>
    <xf borderId="5" fillId="4" fontId="5" numFmtId="4" xfId="0" applyAlignment="1" applyBorder="1" applyFont="1" applyNumberFormat="1">
      <alignment shrinkToFit="0" vertical="bottom" wrapText="0"/>
    </xf>
    <xf borderId="1" fillId="2" fontId="8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horizontal="center"/>
    </xf>
    <xf borderId="0" fillId="0" fontId="5" numFmtId="0" xfId="0" applyFont="1"/>
    <xf borderId="0" fillId="4" fontId="5" numFmtId="0" xfId="0" applyFont="1"/>
    <xf borderId="0" fillId="4" fontId="5" numFmtId="166" xfId="0" applyFont="1" applyNumberFormat="1"/>
    <xf borderId="5" fillId="4" fontId="9" numFmtId="0" xfId="0" applyAlignment="1" applyBorder="1" applyFont="1">
      <alignment readingOrder="0"/>
    </xf>
    <xf borderId="5" fillId="4" fontId="7" numFmtId="0" xfId="0" applyAlignment="1" applyBorder="1" applyFont="1">
      <alignment readingOrder="0"/>
    </xf>
    <xf borderId="0" fillId="4" fontId="5" numFmtId="0" xfId="0" applyAlignment="1" applyFont="1">
      <alignment horizontal="center"/>
    </xf>
    <xf borderId="0" fillId="4" fontId="7" numFmtId="0" xfId="0" applyFont="1"/>
    <xf borderId="0" fillId="4" fontId="5" numFmtId="167" xfId="0" applyFont="1" applyNumberFormat="1"/>
    <xf borderId="5" fillId="4" fontId="7" numFmtId="0" xfId="0" applyBorder="1" applyFont="1"/>
    <xf borderId="0" fillId="0" fontId="6" numFmtId="0" xfId="0" applyFont="1"/>
    <xf borderId="0" fillId="0" fontId="9" numFmtId="0" xfId="0" applyFont="1"/>
    <xf borderId="5" fillId="4" fontId="5" numFmtId="0" xfId="0" applyAlignment="1" applyBorder="1" applyFont="1">
      <alignment readingOrder="0" shrinkToFit="0" vertical="bottom" wrapText="0"/>
    </xf>
    <xf borderId="5" fillId="4" fontId="5" numFmtId="0" xfId="0" applyAlignment="1" applyBorder="1" applyFont="1">
      <alignment shrinkToFit="0" vertical="bottom" wrapText="0"/>
    </xf>
    <xf borderId="0" fillId="4" fontId="5" numFmtId="168" xfId="0" applyAlignment="1" applyFont="1" applyNumberFormat="1">
      <alignment shrinkToFit="0" vertical="bottom" wrapText="0"/>
    </xf>
    <xf borderId="0" fillId="4" fontId="5" numFmtId="2" xfId="0" applyAlignment="1" applyFont="1" applyNumberFormat="1">
      <alignment shrinkToFit="0" vertical="bottom" wrapText="0"/>
    </xf>
    <xf borderId="0" fillId="0" fontId="7" numFmtId="0" xfId="0" applyFont="1"/>
    <xf borderId="0" fillId="0" fontId="10" numFmtId="0" xfId="0" applyFont="1"/>
    <xf borderId="4" fillId="2" fontId="11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unofficed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unofficed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14"/>
    <col customWidth="1" min="2" max="3" width="10.71"/>
    <col customWidth="1" min="4" max="4" width="15.29"/>
    <col customWidth="1" min="5" max="5" width="8.14"/>
    <col customWidth="1" min="6" max="6" width="12.71"/>
    <col customWidth="1" min="7" max="7" width="9.86"/>
    <col customWidth="1" min="8" max="9" width="8.0"/>
  </cols>
  <sheetData>
    <row r="1">
      <c r="A1" s="1" t="s">
        <v>0</v>
      </c>
      <c r="B1" s="2"/>
      <c r="C1" s="3"/>
      <c r="D1" s="4"/>
      <c r="E1" s="1" t="s">
        <v>1</v>
      </c>
      <c r="F1" s="3"/>
      <c r="G1" s="4"/>
      <c r="H1" s="4"/>
      <c r="I1" s="4"/>
    </row>
    <row r="3">
      <c r="A3" s="5" t="s">
        <v>2</v>
      </c>
      <c r="B3" s="6">
        <f>IFERROR(__xludf.DUMMYFUNCTION("GOOGLEFINANCE(""INDEXNSE:NIFTY_BANK"",""price"")"),34958.1)</f>
        <v>34958.1</v>
      </c>
      <c r="C3" s="7" t="s">
        <v>3</v>
      </c>
      <c r="E3" s="5" t="s">
        <v>4</v>
      </c>
      <c r="F3" s="8">
        <f>(LN(B3/B4)+(B8-B9+0.5*B7^2)*B10)/(B7*SQRT(B10))</f>
        <v>-0.02156936968</v>
      </c>
      <c r="G3" s="9"/>
    </row>
    <row r="4">
      <c r="A4" s="10" t="s">
        <v>5</v>
      </c>
      <c r="B4" s="6">
        <f>ROUND(B3,-2)</f>
        <v>35000</v>
      </c>
      <c r="C4" s="7" t="s">
        <v>6</v>
      </c>
      <c r="E4" s="5" t="s">
        <v>7</v>
      </c>
      <c r="F4" s="8">
        <f>EXP(-(F3^2)/2)/SQRT(2*PI())</f>
        <v>0.3988494897</v>
      </c>
      <c r="G4" s="9"/>
    </row>
    <row r="5">
      <c r="A5" s="5" t="s">
        <v>8</v>
      </c>
      <c r="B5" s="11">
        <f>TODAY()</f>
        <v>44361</v>
      </c>
      <c r="C5" s="12"/>
    </row>
    <row r="6">
      <c r="A6" s="5" t="s">
        <v>9</v>
      </c>
      <c r="B6" s="13">
        <v>44364.0</v>
      </c>
      <c r="C6" s="12"/>
      <c r="E6" s="5" t="s">
        <v>10</v>
      </c>
      <c r="F6" s="8">
        <f>F3-B7*SQRT(B10)</f>
        <v>-0.03488727708</v>
      </c>
      <c r="G6" s="9"/>
    </row>
    <row r="7">
      <c r="A7" s="5" t="s">
        <v>11</v>
      </c>
      <c r="B7" s="14">
        <f>IFERROR(__xludf.DUMMYFUNCTION("GOOGLEFINANCE(""INDEXNSE:INDIA_VIX"",""price"")/100"),0.1469)</f>
        <v>0.1469</v>
      </c>
      <c r="C7" s="7" t="s">
        <v>12</v>
      </c>
      <c r="D7" s="15"/>
      <c r="E7" s="5" t="s">
        <v>13</v>
      </c>
      <c r="F7" s="8">
        <f>NORMSDIST(F6)</f>
        <v>0.4860848129</v>
      </c>
      <c r="G7" s="9"/>
    </row>
    <row r="8">
      <c r="A8" s="5" t="s">
        <v>14</v>
      </c>
      <c r="B8" s="14">
        <v>0.1</v>
      </c>
      <c r="C8" s="12"/>
      <c r="D8" s="15"/>
    </row>
    <row r="9">
      <c r="A9" s="5" t="s">
        <v>15</v>
      </c>
      <c r="B9" s="14">
        <v>0.0</v>
      </c>
      <c r="C9" s="12"/>
      <c r="D9" s="15"/>
      <c r="E9" s="15"/>
    </row>
    <row r="10">
      <c r="A10" s="5" t="s">
        <v>16</v>
      </c>
      <c r="B10" s="16">
        <f>(B6-B5)/365</f>
        <v>0.008219178082</v>
      </c>
      <c r="C10" s="17"/>
      <c r="D10" s="15"/>
      <c r="E10" s="18" t="s">
        <v>17</v>
      </c>
      <c r="F10" s="3"/>
    </row>
    <row r="11">
      <c r="A11" s="19"/>
      <c r="B11" s="20"/>
      <c r="C11" s="20"/>
      <c r="D11" s="21"/>
      <c r="E11" s="21"/>
    </row>
    <row r="12">
      <c r="A12" s="1" t="s">
        <v>18</v>
      </c>
      <c r="B12" s="2"/>
      <c r="C12" s="2"/>
      <c r="D12" s="2"/>
      <c r="E12" s="2"/>
      <c r="F12" s="2"/>
      <c r="G12" s="2"/>
      <c r="H12" s="3"/>
    </row>
    <row r="13">
      <c r="A13" s="15"/>
      <c r="B13" s="15"/>
      <c r="C13" s="15"/>
      <c r="D13" s="15"/>
      <c r="E13" s="15"/>
      <c r="F13" s="15"/>
      <c r="G13" s="15"/>
      <c r="H13" s="15"/>
      <c r="I13" s="21"/>
    </row>
    <row r="14">
      <c r="A14" s="10" t="s">
        <v>19</v>
      </c>
      <c r="B14" s="22">
        <f>(-((B3*B7*EXP(-B9*B10))/(2*SQRT(B10))*(1/(SQRT(2*PI())))*EXP(-(F3*F3)/2))-(B8*B4*EXP(-B8*B10)*NORMSDIST(F6))+(B9*EXP(-B9*B10)*B3*NORMSDIST(F3)))/365</f>
        <v>-35.6059001</v>
      </c>
      <c r="C14" s="23"/>
      <c r="D14" s="10" t="s">
        <v>20</v>
      </c>
      <c r="E14" s="22">
        <f>EXP(-B9*B10)*B3*NORMSDIST(F3)-B4*EXP(-B8*B10)*NORMSDIST(F3-B7*SQRT(B10))</f>
        <v>179.2702608</v>
      </c>
      <c r="F14" s="9"/>
      <c r="G14" s="10" t="s">
        <v>21</v>
      </c>
      <c r="H14" s="22">
        <f>(1/100)*B4*B10*EXP(-B8*B10)*NORMSDIST(F6)</f>
        <v>1.397177337</v>
      </c>
      <c r="I14" s="24"/>
    </row>
    <row r="15">
      <c r="A15" s="10" t="s">
        <v>22</v>
      </c>
      <c r="B15" s="22">
        <f>(-((B3*B7*EXP(-B9*B10))/(2*SQRT(B10))*(1/(SQRT(2*PI())))*EXP(-(F3*F3)/2))+(B8*B4*EXP(-B8*B10)*NORMSDIST(-F6))-(B9*EXP(-B9*B10)*B3*NORMSDIST(-F3)))/365</f>
        <v>-26.02473717</v>
      </c>
      <c r="C15" s="23"/>
      <c r="D15" s="10" t="s">
        <v>23</v>
      </c>
      <c r="E15" s="22">
        <f>B4*EXP(-B8*B10)*NORMSDIST(-F6)-EXP(-B9*B10)*B3*NORMSDIST(-F3)</f>
        <v>192.4149563</v>
      </c>
      <c r="F15" s="9"/>
      <c r="G15" s="10" t="s">
        <v>24</v>
      </c>
      <c r="H15" s="22">
        <f>(-1/100)*B4*B10*EXP(-B8*B10)*NORMSDIST(-F6)</f>
        <v>-1.477171542</v>
      </c>
      <c r="I15" s="24"/>
    </row>
    <row r="16">
      <c r="A16" s="25"/>
      <c r="B16" s="21"/>
      <c r="C16" s="26"/>
      <c r="D16" s="21"/>
      <c r="E16" s="15"/>
    </row>
    <row r="17">
      <c r="A17" s="5" t="s">
        <v>25</v>
      </c>
      <c r="B17" s="22">
        <f>EXP(-B9*B10)*NORMSDIST(F3)</f>
        <v>0.4913957337</v>
      </c>
      <c r="C17" s="9"/>
      <c r="D17" s="10" t="s">
        <v>26</v>
      </c>
      <c r="E17" s="27">
        <f>(EXP(-B8*B10)/(B3*B7*SQRT(B10)))*(1/(SQRT(2*PI())))*EXP(-(F3*F3)/2)</f>
        <v>0.00085598918</v>
      </c>
      <c r="F17" s="28"/>
      <c r="G17" s="10" t="s">
        <v>27</v>
      </c>
      <c r="H17" s="22">
        <f>((1/100)*B3*EXP(-B8*B10)*SQRT(B10))*(1/(SQRT(2*PI()))*EXP(-(F3*F3)/2))</f>
        <v>12.63031267</v>
      </c>
      <c r="I17" s="28"/>
    </row>
    <row r="18">
      <c r="A18" s="10" t="s">
        <v>28</v>
      </c>
      <c r="B18" s="22">
        <f>EXP(-B9*B10)*(NORMSDIST(F3)-1)</f>
        <v>-0.5086042663</v>
      </c>
      <c r="C18" s="24"/>
    </row>
    <row r="19">
      <c r="A19" s="19"/>
      <c r="B19" s="29"/>
      <c r="C19" s="30"/>
    </row>
  </sheetData>
  <mergeCells count="4">
    <mergeCell ref="A1:C1"/>
    <mergeCell ref="E1:F1"/>
    <mergeCell ref="E10:F10"/>
    <mergeCell ref="A12:H12"/>
  </mergeCells>
  <hyperlinks>
    <hyperlink r:id="rId1" ref="E10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14"/>
    <col customWidth="1" min="2" max="3" width="10.71"/>
    <col customWidth="1" min="4" max="4" width="9.29"/>
    <col customWidth="1" min="5" max="6" width="12.71"/>
    <col customWidth="1" min="7" max="7" width="9.86"/>
    <col customWidth="1" min="8" max="20" width="8.0"/>
  </cols>
  <sheetData>
    <row r="1">
      <c r="A1" s="5" t="s">
        <v>2</v>
      </c>
      <c r="B1" s="6">
        <f>IFERROR(__xludf.DUMMYFUNCTION("GOOGLEFINANCE(""INDEXNSE:NIFTY_BANK"",""price"")"),34958.1)</f>
        <v>34958.1</v>
      </c>
      <c r="C1" s="31" t="s">
        <v>29</v>
      </c>
      <c r="D1" s="21"/>
      <c r="E1" s="21"/>
      <c r="F1" s="5" t="s">
        <v>4</v>
      </c>
      <c r="G1" s="8">
        <f>(LN(B1/B2)+(B6-B7+0.5*B5^2)*B8)/(B5*SQRT(B8))</f>
        <v>-0.02156936968</v>
      </c>
      <c r="H1" s="9" t="s">
        <v>30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>
      <c r="A2" s="10" t="s">
        <v>31</v>
      </c>
      <c r="B2" s="6">
        <f>ROUND(B1,-2)</f>
        <v>35000</v>
      </c>
      <c r="C2" s="32"/>
      <c r="D2" s="21"/>
      <c r="E2" s="21"/>
      <c r="F2" s="5" t="s">
        <v>7</v>
      </c>
      <c r="G2" s="8">
        <f>EXP(-(G1^2)/2)/SQRT(2*PI())</f>
        <v>0.3988494897</v>
      </c>
      <c r="H2" s="9" t="s">
        <v>32</v>
      </c>
      <c r="I2" s="33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>
      <c r="A3" s="5" t="s">
        <v>8</v>
      </c>
      <c r="B3" s="11">
        <f>TODAY()</f>
        <v>44361</v>
      </c>
      <c r="C3" s="32"/>
      <c r="D3" s="21"/>
      <c r="E3" s="21"/>
      <c r="F3" s="5" t="s">
        <v>10</v>
      </c>
      <c r="G3" s="8">
        <f>G1-B5*SQRT(B8)</f>
        <v>-0.03488727708</v>
      </c>
      <c r="H3" s="9" t="s">
        <v>33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>
      <c r="A4" s="5" t="s">
        <v>9</v>
      </c>
      <c r="B4" s="13">
        <v>44364.0</v>
      </c>
      <c r="C4" s="32"/>
      <c r="D4" s="21"/>
      <c r="E4" s="21"/>
      <c r="F4" s="5" t="s">
        <v>13</v>
      </c>
      <c r="G4" s="8">
        <f>NORMSDIST(G3)</f>
        <v>0.4860848129</v>
      </c>
      <c r="H4" s="9" t="s">
        <v>34</v>
      </c>
      <c r="I4" s="33"/>
      <c r="J4" s="21"/>
      <c r="K4" s="21"/>
      <c r="L4" s="21"/>
      <c r="M4" s="21"/>
      <c r="N4" s="21"/>
      <c r="O4" s="21"/>
      <c r="P4" s="21"/>
    </row>
    <row r="5">
      <c r="A5" s="5" t="s">
        <v>11</v>
      </c>
      <c r="B5" s="14">
        <f>IFERROR(__xludf.DUMMYFUNCTION("GOOGLEFINANCE(""INDEXNSE:INDIA_VIX"",""price"")/100"),0.1469)</f>
        <v>0.1469</v>
      </c>
      <c r="C5" s="31" t="s">
        <v>12</v>
      </c>
      <c r="D5" s="21"/>
      <c r="E5" s="21"/>
      <c r="J5" s="21"/>
      <c r="K5" s="21"/>
      <c r="L5" s="21"/>
      <c r="M5" s="21"/>
      <c r="N5" s="21"/>
      <c r="O5" s="21"/>
      <c r="P5" s="21"/>
    </row>
    <row r="6">
      <c r="A6" s="5" t="s">
        <v>14</v>
      </c>
      <c r="B6" s="14">
        <v>0.1</v>
      </c>
      <c r="C6" s="32"/>
      <c r="D6" s="21"/>
      <c r="E6" s="21"/>
      <c r="J6" s="21"/>
      <c r="K6" s="21"/>
      <c r="L6" s="21"/>
      <c r="M6" s="21"/>
      <c r="N6" s="21"/>
      <c r="O6" s="21"/>
      <c r="P6" s="21"/>
    </row>
    <row r="7">
      <c r="A7" s="5" t="s">
        <v>15</v>
      </c>
      <c r="B7" s="14">
        <v>0.0</v>
      </c>
      <c r="C7" s="32"/>
      <c r="D7" s="21"/>
      <c r="E7" s="21"/>
      <c r="J7" s="21"/>
      <c r="K7" s="21"/>
      <c r="L7" s="21"/>
      <c r="M7" s="21"/>
      <c r="N7" s="21"/>
      <c r="O7" s="21"/>
      <c r="P7" s="21"/>
    </row>
    <row r="8">
      <c r="A8" s="5" t="s">
        <v>16</v>
      </c>
      <c r="B8" s="16">
        <f>(B4-B3)/365</f>
        <v>0.008219178082</v>
      </c>
      <c r="C8" s="17"/>
      <c r="D8" s="21"/>
      <c r="E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>
      <c r="A9" s="19"/>
      <c r="B9" s="20"/>
      <c r="C9" s="20"/>
      <c r="D9" s="21"/>
      <c r="E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>
      <c r="A10" s="10" t="s">
        <v>19</v>
      </c>
      <c r="B10" s="22">
        <f>(-((B1*B5*EXP(-B7*B8))/(2*SQRT(B8))*(1/(SQRT(2*PI())))*EXP(-(G1*G1)/2))-(B6*B2*EXP(-B6*B8)*NORMSDIST(G3))+(B7*EXP(-B7*B8)*B1*NORMSDIST(G1)))/365</f>
        <v>-35.6059001</v>
      </c>
      <c r="C10" s="24" t="s">
        <v>35</v>
      </c>
      <c r="D10" s="21"/>
      <c r="E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>
      <c r="A11" s="10" t="s">
        <v>22</v>
      </c>
      <c r="B11" s="22">
        <f>(-((B1*B5*EXP(-B7*B8))/(2*SQRT(B8))*(1/(SQRT(2*PI())))*EXP(-(G1*G1)/2))+(B6*B2*EXP(-B6*B8)*NORMSDIST(-G3))-(B7*EXP(-B7*B8)*B1*NORMSDIST(-G1)))/365</f>
        <v>-26.02473717</v>
      </c>
      <c r="C11" s="24" t="s">
        <v>36</v>
      </c>
      <c r="D11" s="21"/>
      <c r="E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>
      <c r="A12" s="25"/>
      <c r="B12" s="21"/>
      <c r="C12" s="26"/>
      <c r="D12" s="21"/>
      <c r="E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>
      <c r="A13" s="10" t="s">
        <v>20</v>
      </c>
      <c r="B13" s="8">
        <f>EXP(-B7*B8)*B1*NORMSDIST(G1)-B2*EXP(-B6*B8)*NORMSDIST(G1-B5*SQRT(B8))</f>
        <v>179.2702608</v>
      </c>
      <c r="C13" s="9" t="s">
        <v>37</v>
      </c>
      <c r="D13" s="34"/>
      <c r="E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>
      <c r="A14" s="10" t="s">
        <v>23</v>
      </c>
      <c r="B14" s="8">
        <f>B2*EXP(-B6*B8)*NORMSDIST(-G3)-EXP(-B7*B8)*B1*NORMSDIST(-G1)</f>
        <v>192.4149563</v>
      </c>
      <c r="C14" s="9" t="s">
        <v>38</v>
      </c>
      <c r="D14" s="34"/>
      <c r="E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>
      <c r="A15" s="19"/>
      <c r="B15" s="20"/>
      <c r="C15" s="35"/>
      <c r="D15" s="20"/>
      <c r="E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>
      <c r="A16" s="5" t="s">
        <v>25</v>
      </c>
      <c r="B16" s="22">
        <f>EXP(-B7*B8)*NORMSDIST(G1)</f>
        <v>0.4913957337</v>
      </c>
      <c r="C16" s="9" t="s">
        <v>39</v>
      </c>
      <c r="D16" s="21"/>
      <c r="E16" s="21"/>
      <c r="F16" s="19"/>
      <c r="G16" s="20"/>
      <c r="H16" s="36"/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>
      <c r="A17" s="10" t="s">
        <v>28</v>
      </c>
      <c r="B17" s="22">
        <f>EXP(-B7*B8)*(NORMSDIST(G1)-1)</f>
        <v>-0.5086042663</v>
      </c>
      <c r="C17" s="24" t="s">
        <v>40</v>
      </c>
      <c r="D17" s="21"/>
      <c r="E17" s="21"/>
      <c r="F17" s="19"/>
      <c r="G17" s="20"/>
      <c r="H17" s="36"/>
      <c r="I17" s="2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>
      <c r="A18" s="19"/>
      <c r="B18" s="20"/>
      <c r="C18" s="35"/>
      <c r="D18" s="20"/>
      <c r="E18" s="21"/>
      <c r="F18" s="19"/>
      <c r="G18" s="20"/>
      <c r="H18" s="36"/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>
      <c r="A19" s="10" t="s">
        <v>26</v>
      </c>
      <c r="B19" s="27">
        <f>(EXP(-B6*B8)/(B1*B5*SQRT(B8)))*(1/(SQRT(2*PI())))*EXP(-(G1*G1)/2)</f>
        <v>0.00085598918</v>
      </c>
      <c r="C19" s="28" t="s">
        <v>41</v>
      </c>
      <c r="D19" s="21"/>
      <c r="E19" s="21"/>
      <c r="F19" s="19"/>
      <c r="G19" s="20"/>
      <c r="H19" s="36"/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>
      <c r="A20" s="19"/>
      <c r="B20" s="20"/>
      <c r="C20" s="35"/>
      <c r="D20" s="20"/>
      <c r="E20" s="21"/>
      <c r="F20" s="19"/>
      <c r="G20" s="20"/>
      <c r="H20" s="36"/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>
      <c r="A21" s="10" t="s">
        <v>27</v>
      </c>
      <c r="B21" s="22">
        <f>((1/100)*B1*EXP(-B6*B8)*SQRT(B8))*(1/(SQRT(2*PI()))*EXP(-(G1*G1)/2))</f>
        <v>12.63031267</v>
      </c>
      <c r="C21" s="28" t="s">
        <v>42</v>
      </c>
      <c r="D21" s="21"/>
      <c r="E21" s="21"/>
      <c r="F21" s="19"/>
      <c r="G21" s="20"/>
      <c r="H21" s="36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>
      <c r="A22" s="19"/>
      <c r="B22" s="20"/>
      <c r="C22" s="35"/>
      <c r="D22" s="20"/>
      <c r="E22" s="21"/>
      <c r="F22" s="19"/>
      <c r="G22" s="20"/>
      <c r="H22" s="36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>
      <c r="A23" s="10" t="s">
        <v>21</v>
      </c>
      <c r="B23" s="22">
        <f>(1/100)*B2*B8*EXP(-B6*B8)*NORMSDIST(G3)</f>
        <v>1.397177337</v>
      </c>
      <c r="C23" s="24" t="s">
        <v>43</v>
      </c>
      <c r="D23" s="21"/>
      <c r="E23" s="21"/>
      <c r="F23" s="19"/>
      <c r="G23" s="20"/>
      <c r="H23" s="36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>
      <c r="A24" s="10" t="s">
        <v>24</v>
      </c>
      <c r="B24" s="22">
        <f>(-1/100)*B2*B8*EXP(-B6*B8)*NORMSDIST(-G3)</f>
        <v>-1.477171542</v>
      </c>
      <c r="C24" s="24" t="s">
        <v>44</v>
      </c>
      <c r="D24" s="20"/>
      <c r="E24" s="21"/>
      <c r="F24" s="19"/>
      <c r="G24" s="20"/>
      <c r="H24" s="36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>
      <c r="A25" s="37" t="s">
        <v>17</v>
      </c>
      <c r="B25" s="20"/>
      <c r="C25" s="38"/>
      <c r="D25" s="20"/>
      <c r="E25" s="21"/>
      <c r="F25" s="19"/>
      <c r="G25" s="20"/>
      <c r="H25" s="36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>
      <c r="A26" s="19"/>
      <c r="B26" s="20"/>
      <c r="C26" s="38"/>
      <c r="D26" s="20"/>
      <c r="E26" s="21"/>
      <c r="F26" s="19"/>
      <c r="G26" s="20"/>
      <c r="H26" s="36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</sheetData>
  <hyperlinks>
    <hyperlink r:id="rId1" ref="A25"/>
  </hyperlinks>
  <printOptions/>
  <pageMargins bottom="0.75" footer="0.0" header="0.0" left="0.7" right="0.7" top="0.75"/>
  <pageSetup orientation="landscape"/>
  <drawing r:id="rId2"/>
</worksheet>
</file>